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povaNN\Desktop\Инвестционная программа\"/>
    </mc:Choice>
  </mc:AlternateContent>
  <bookViews>
    <workbookView xWindow="0" yWindow="0" windowWidth="12360" windowHeight="10560"/>
  </bookViews>
  <sheets>
    <sheet name="Проект" sheetId="2" r:id="rId1"/>
    <sheet name="Лист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4" i="2" l="1"/>
  <c r="R40" i="2"/>
  <c r="R39" i="2"/>
  <c r="S11" i="2"/>
  <c r="E49" i="2"/>
  <c r="F49" i="2"/>
  <c r="G49" i="2"/>
  <c r="H49" i="2"/>
  <c r="I49" i="2"/>
  <c r="J49" i="2"/>
  <c r="K49" i="2"/>
  <c r="D49" i="2"/>
  <c r="R11" i="2" l="1"/>
  <c r="L50" i="2" l="1"/>
  <c r="O49" i="2"/>
  <c r="N49" i="2"/>
  <c r="L48" i="2"/>
  <c r="J48" i="2"/>
  <c r="F48" i="2"/>
  <c r="E48" i="2"/>
  <c r="L47" i="2"/>
  <c r="J47" i="2"/>
  <c r="F47" i="2"/>
  <c r="L46" i="2"/>
  <c r="K46" i="2"/>
  <c r="P46" i="2" s="1"/>
  <c r="J46" i="2"/>
  <c r="F46" i="2"/>
  <c r="E46" i="2"/>
  <c r="L45" i="2"/>
  <c r="J45" i="2"/>
  <c r="F45" i="2"/>
  <c r="J44" i="2"/>
  <c r="F44" i="2"/>
  <c r="L40" i="2"/>
  <c r="J40" i="2"/>
  <c r="F40" i="2"/>
  <c r="K40" i="2" s="1"/>
  <c r="P40" i="2" s="1"/>
  <c r="L39" i="2"/>
  <c r="J39" i="2"/>
  <c r="F39" i="2"/>
  <c r="F35" i="2" s="1"/>
  <c r="L38" i="2"/>
  <c r="J38" i="2"/>
  <c r="J35" i="2" s="1"/>
  <c r="F38" i="2"/>
  <c r="E38" i="2"/>
  <c r="L37" i="2"/>
  <c r="K37" i="2"/>
  <c r="J37" i="2"/>
  <c r="L36" i="2"/>
  <c r="J36" i="2"/>
  <c r="F36" i="2"/>
  <c r="O35" i="2"/>
  <c r="N35" i="2"/>
  <c r="I35" i="2"/>
  <c r="H35" i="2"/>
  <c r="G35" i="2"/>
  <c r="G32" i="2" s="1"/>
  <c r="D35" i="2"/>
  <c r="D32" i="2" s="1"/>
  <c r="F34" i="2"/>
  <c r="E34" i="2"/>
  <c r="E33" i="2" s="1"/>
  <c r="O33" i="2"/>
  <c r="N33" i="2"/>
  <c r="N32" i="2" s="1"/>
  <c r="L33" i="2"/>
  <c r="J33" i="2"/>
  <c r="I33" i="2"/>
  <c r="H33" i="2"/>
  <c r="H32" i="2" s="1"/>
  <c r="G33" i="2"/>
  <c r="F33" i="2"/>
  <c r="D33" i="2"/>
  <c r="O32" i="2"/>
  <c r="I32" i="2"/>
  <c r="L31" i="2"/>
  <c r="F31" i="2"/>
  <c r="K31" i="2" s="1"/>
  <c r="P31" i="2" s="1"/>
  <c r="L30" i="2"/>
  <c r="F30" i="2"/>
  <c r="K30" i="2" s="1"/>
  <c r="P30" i="2" s="1"/>
  <c r="L29" i="2"/>
  <c r="F29" i="2"/>
  <c r="K29" i="2" s="1"/>
  <c r="P29" i="2" s="1"/>
  <c r="L28" i="2"/>
  <c r="K28" i="2"/>
  <c r="F28" i="2"/>
  <c r="L27" i="2"/>
  <c r="F27" i="2"/>
  <c r="K27" i="2" s="1"/>
  <c r="P27" i="2" s="1"/>
  <c r="O26" i="2"/>
  <c r="N26" i="2"/>
  <c r="L26" i="2"/>
  <c r="J26" i="2"/>
  <c r="I26" i="2"/>
  <c r="H26" i="2"/>
  <c r="G26" i="2"/>
  <c r="F26" i="2"/>
  <c r="E26" i="2"/>
  <c r="L25" i="2"/>
  <c r="J25" i="2"/>
  <c r="I25" i="2"/>
  <c r="H25" i="2"/>
  <c r="G25" i="2"/>
  <c r="F25" i="2"/>
  <c r="E25" i="2"/>
  <c r="L24" i="2"/>
  <c r="J24" i="2"/>
  <c r="I24" i="2"/>
  <c r="H24" i="2"/>
  <c r="G24" i="2"/>
  <c r="F24" i="2"/>
  <c r="E24" i="2"/>
  <c r="L23" i="2"/>
  <c r="J23" i="2"/>
  <c r="I23" i="2"/>
  <c r="H23" i="2"/>
  <c r="G23" i="2"/>
  <c r="F23" i="2"/>
  <c r="E23" i="2"/>
  <c r="L22" i="2"/>
  <c r="J22" i="2"/>
  <c r="I22" i="2"/>
  <c r="H22" i="2"/>
  <c r="G22" i="2"/>
  <c r="F22" i="2"/>
  <c r="E22" i="2"/>
  <c r="L21" i="2"/>
  <c r="J21" i="2"/>
  <c r="I21" i="2"/>
  <c r="H21" i="2"/>
  <c r="G21" i="2"/>
  <c r="F21" i="2"/>
  <c r="E21" i="2"/>
  <c r="L20" i="2"/>
  <c r="J20" i="2"/>
  <c r="I20" i="2"/>
  <c r="H20" i="2"/>
  <c r="G20" i="2"/>
  <c r="F20" i="2"/>
  <c r="E20" i="2"/>
  <c r="L19" i="2"/>
  <c r="J19" i="2"/>
  <c r="I19" i="2"/>
  <c r="H19" i="2"/>
  <c r="G19" i="2"/>
  <c r="F19" i="2"/>
  <c r="E19" i="2"/>
  <c r="L18" i="2"/>
  <c r="J18" i="2"/>
  <c r="I18" i="2"/>
  <c r="H18" i="2"/>
  <c r="G18" i="2"/>
  <c r="F18" i="2"/>
  <c r="E18" i="2"/>
  <c r="L17" i="2"/>
  <c r="J17" i="2"/>
  <c r="I17" i="2"/>
  <c r="H17" i="2"/>
  <c r="G17" i="2"/>
  <c r="F17" i="2"/>
  <c r="E17" i="2"/>
  <c r="L16" i="2"/>
  <c r="J16" i="2"/>
  <c r="I16" i="2"/>
  <c r="H16" i="2"/>
  <c r="G16" i="2"/>
  <c r="F16" i="2"/>
  <c r="E16" i="2"/>
  <c r="L15" i="2"/>
  <c r="J15" i="2"/>
  <c r="I15" i="2"/>
  <c r="H15" i="2"/>
  <c r="G15" i="2"/>
  <c r="F15" i="2"/>
  <c r="E15" i="2"/>
  <c r="L14" i="2"/>
  <c r="J14" i="2"/>
  <c r="J12" i="2" s="1"/>
  <c r="J11" i="2" s="1"/>
  <c r="I14" i="2"/>
  <c r="H14" i="2"/>
  <c r="G14" i="2"/>
  <c r="F14" i="2"/>
  <c r="E14" i="2"/>
  <c r="L13" i="2"/>
  <c r="J13" i="2"/>
  <c r="I13" i="2"/>
  <c r="H13" i="2"/>
  <c r="G13" i="2"/>
  <c r="F13" i="2"/>
  <c r="E13" i="2"/>
  <c r="O12" i="2"/>
  <c r="O11" i="2" s="1"/>
  <c r="N12" i="2"/>
  <c r="N11" i="2" s="1"/>
  <c r="D11" i="2"/>
  <c r="F32" i="2" l="1"/>
  <c r="F12" i="2"/>
  <c r="F11" i="2" s="1"/>
  <c r="K48" i="2"/>
  <c r="J32" i="2"/>
  <c r="P37" i="2"/>
  <c r="K39" i="2"/>
  <c r="P39" i="2" s="1"/>
  <c r="K36" i="2"/>
  <c r="P36" i="2" s="1"/>
  <c r="P50" i="2"/>
  <c r="L49" i="2"/>
  <c r="F10" i="2"/>
  <c r="I12" i="2"/>
  <c r="I11" i="2" s="1"/>
  <c r="I10" i="2" s="1"/>
  <c r="K19" i="2"/>
  <c r="P19" i="2" s="1"/>
  <c r="K21" i="2"/>
  <c r="P21" i="2" s="1"/>
  <c r="K25" i="2"/>
  <c r="P25" i="2" s="1"/>
  <c r="L35" i="2"/>
  <c r="L32" i="2" s="1"/>
  <c r="K14" i="2"/>
  <c r="P14" i="2" s="1"/>
  <c r="K16" i="2"/>
  <c r="P16" i="2" s="1"/>
  <c r="L12" i="2"/>
  <c r="L11" i="2" s="1"/>
  <c r="K18" i="2"/>
  <c r="P18" i="2" s="1"/>
  <c r="K20" i="2"/>
  <c r="P20" i="2" s="1"/>
  <c r="K22" i="2"/>
  <c r="P22" i="2" s="1"/>
  <c r="K24" i="2"/>
  <c r="P24" i="2" s="1"/>
  <c r="K26" i="2"/>
  <c r="P26" i="2" s="1"/>
  <c r="K34" i="2"/>
  <c r="P34" i="2" s="1"/>
  <c r="P33" i="2" s="1"/>
  <c r="K38" i="2"/>
  <c r="P38" i="2" s="1"/>
  <c r="K45" i="2"/>
  <c r="P45" i="2" s="1"/>
  <c r="K47" i="2"/>
  <c r="P47" i="2" s="1"/>
  <c r="G12" i="2"/>
  <c r="G11" i="2" s="1"/>
  <c r="G10" i="2" s="1"/>
  <c r="K15" i="2"/>
  <c r="P15" i="2" s="1"/>
  <c r="K17" i="2"/>
  <c r="P17" i="2" s="1"/>
  <c r="K23" i="2"/>
  <c r="P23" i="2" s="1"/>
  <c r="P48" i="2"/>
  <c r="H12" i="2"/>
  <c r="H11" i="2" s="1"/>
  <c r="P28" i="2"/>
  <c r="K44" i="2"/>
  <c r="K35" i="2" s="1"/>
  <c r="D10" i="2"/>
  <c r="O10" i="2"/>
  <c r="N10" i="2"/>
  <c r="H10" i="2"/>
  <c r="J10" i="2"/>
  <c r="P49" i="2"/>
  <c r="K13" i="2"/>
  <c r="P13" i="2" s="1"/>
  <c r="E12" i="2"/>
  <c r="E35" i="2"/>
  <c r="E32" i="2" s="1"/>
  <c r="P35" i="2" l="1"/>
  <c r="L10" i="2"/>
  <c r="P32" i="2"/>
  <c r="K33" i="2"/>
  <c r="K32" i="2" s="1"/>
  <c r="K12" i="2"/>
  <c r="P12" i="2" s="1"/>
  <c r="E11" i="2"/>
  <c r="K11" i="2" l="1"/>
  <c r="E10" i="2"/>
  <c r="P11" i="2" l="1"/>
  <c r="P10" i="2" s="1"/>
  <c r="K10" i="2"/>
</calcChain>
</file>

<file path=xl/sharedStrings.xml><?xml version="1.0" encoding="utf-8"?>
<sst xmlns="http://schemas.openxmlformats.org/spreadsheetml/2006/main" count="179" uniqueCount="147">
  <si>
    <t>МП "ХМГЭС"</t>
  </si>
  <si>
    <t>Приложение №5</t>
  </si>
  <si>
    <t>Расчет расходов на плановый 2019 г. и долгосрочный 2020-2024 гг. периоды на строительство, реконструкцию, модернизацию, технической оснащение объектов, мероприятия по энергосбережению и повышению энергетической эффективности в рамках инвестиционной программы</t>
  </si>
  <si>
    <t>№</t>
  </si>
  <si>
    <t>Расходы на мероприятие в соответствии с локально-сметными расчетами, руб.</t>
  </si>
  <si>
    <t>Прочие обязательные затраты, в т.ч. на оплату гос.пошлин, аренды, налогов и сборов и проч., руб.</t>
  </si>
  <si>
    <t>Примечания к графе 10 (расшифровка понесенных расходов)</t>
  </si>
  <si>
    <t>Трудозатраты, чел.час</t>
  </si>
  <si>
    <t>км</t>
  </si>
  <si>
    <t>МВА</t>
  </si>
  <si>
    <t>Машины и мех-мы, маш./ч.</t>
  </si>
  <si>
    <t>Всего расходы на мероприятия, руб.</t>
  </si>
  <si>
    <t>10=сумм(4-9)</t>
  </si>
  <si>
    <t>15=(10+11)*3</t>
  </si>
  <si>
    <t>Материалы, оборудование</t>
  </si>
  <si>
    <t>Машины и мех-мы</t>
  </si>
  <si>
    <t>ФОТ</t>
  </si>
  <si>
    <t>Накладные расходы</t>
  </si>
  <si>
    <t>Сметная прибыль</t>
  </si>
  <si>
    <t>Прочие расходы</t>
  </si>
  <si>
    <t>Всего расходов</t>
  </si>
  <si>
    <t>2019 год</t>
  </si>
  <si>
    <t>1.</t>
  </si>
  <si>
    <t>Реконструкция</t>
  </si>
  <si>
    <t>1.1.</t>
  </si>
  <si>
    <t>Реконструкция сетей ТП-10/0,4 кВ. СОТ "Движенец", СОТ "Авиатор", СОТ "Геолог", СОТ "Родник".</t>
  </si>
  <si>
    <t>10х15000 руб. - тех.план, 10х22000 руб. - регистрация объекта</t>
  </si>
  <si>
    <t>ЛСР № 1.1-2008
ЛСР № 1.1-2014
ЛСР № 1.1-2015
ЛСР № 1.1-2016
ЛСР № 1.1-2017
ЛСР № 1.1-2018
ЛСР № 1.1-2021
ЛСР № 1.1-2040
ЛСР № 1.1-2041
ЛСР № 1.1-2042</t>
  </si>
  <si>
    <t>1.1.-2008</t>
  </si>
  <si>
    <t>Реконструкция ТП № 2008</t>
  </si>
  <si>
    <t>ЛСР № 1.1-2008</t>
  </si>
  <si>
    <t>1.1.-2014</t>
  </si>
  <si>
    <t>Реконструкция ТП № 2014</t>
  </si>
  <si>
    <t>ЛСР № 1.1-2014</t>
  </si>
  <si>
    <t>1.1.-2015</t>
  </si>
  <si>
    <t>Реконструкция ТП № 2015</t>
  </si>
  <si>
    <t>ЛСР № 1.1-2015</t>
  </si>
  <si>
    <t>1.1.-2016</t>
  </si>
  <si>
    <t>Реконструкция ТП № 2016</t>
  </si>
  <si>
    <t>ЛСР № 1.1-2016</t>
  </si>
  <si>
    <t>1.1.-2017</t>
  </si>
  <si>
    <t>Реконструкция ТП № 2017</t>
  </si>
  <si>
    <t>ЛСР № 1.1-2017</t>
  </si>
  <si>
    <t>1.1.-2018</t>
  </si>
  <si>
    <t>Реконструкция ТП № 2018</t>
  </si>
  <si>
    <t>ЛСР № 1.1-2018</t>
  </si>
  <si>
    <t>1.1.-2021</t>
  </si>
  <si>
    <t>Реконструкция ТП № 2021</t>
  </si>
  <si>
    <t>ЛСР № 1.1-2021</t>
  </si>
  <si>
    <t>1.1.-2040</t>
  </si>
  <si>
    <t>Реконструкция ТП № 2040</t>
  </si>
  <si>
    <t>ЛСР № 1.1-2040</t>
  </si>
  <si>
    <t>1.1.-2041</t>
  </si>
  <si>
    <t>Реконструкция ТП № 2041</t>
  </si>
  <si>
    <t>ЛСР № 1.1-2041</t>
  </si>
  <si>
    <t>1.1.-2042</t>
  </si>
  <si>
    <t>Реконструкция ТП № 2042</t>
  </si>
  <si>
    <t>ЛСР № 1.1-2042</t>
  </si>
  <si>
    <t>1.2.</t>
  </si>
  <si>
    <t xml:space="preserve">Реконструкция ТП №2013 </t>
  </si>
  <si>
    <t>15000 руб. - тех.план, 22000 - регистрация объекта</t>
  </si>
  <si>
    <t>ЛСР № 1.2</t>
  </si>
  <si>
    <t>1.3.</t>
  </si>
  <si>
    <t xml:space="preserve">Реконструкция ТП №303 </t>
  </si>
  <si>
    <t>ЛСР № 1.3</t>
  </si>
  <si>
    <t>1.4.</t>
  </si>
  <si>
    <t xml:space="preserve">Реконструкция ТП №304 </t>
  </si>
  <si>
    <t>ЛСР № 1.4</t>
  </si>
  <si>
    <t>1.5.</t>
  </si>
  <si>
    <t>Реконструкция ТП-10/0,4 кВ. КНС по ул. К. Маркса (ТП-1318)</t>
  </si>
  <si>
    <t>ЛСР № 1.5</t>
  </si>
  <si>
    <t>1.6.</t>
  </si>
  <si>
    <t>Реконструкция ТП №1103</t>
  </si>
  <si>
    <t>-</t>
  </si>
  <si>
    <t>ЛСР № 1.6</t>
  </si>
  <si>
    <t>1.7.</t>
  </si>
  <si>
    <t>Реконструкция ТП №1110</t>
  </si>
  <si>
    <t>ЛСР № 1.7</t>
  </si>
  <si>
    <t>1.8.</t>
  </si>
  <si>
    <t xml:space="preserve">Реконструкция ТП №1202 </t>
  </si>
  <si>
    <t>15000руб. - тех.план, 22000 - регистрация объекта</t>
  </si>
  <si>
    <t>ЛСР № 1.8</t>
  </si>
  <si>
    <t>1.9.</t>
  </si>
  <si>
    <t xml:space="preserve">Реконструкция ТП №2412 </t>
  </si>
  <si>
    <t>ЛСР № 1.9</t>
  </si>
  <si>
    <t>1.10.</t>
  </si>
  <si>
    <t xml:space="preserve">Реконструкция ТП №2502 </t>
  </si>
  <si>
    <t>ЛСР № 1.10</t>
  </si>
  <si>
    <t>2.</t>
  </si>
  <si>
    <t>Новое строительство</t>
  </si>
  <si>
    <t>2.1.</t>
  </si>
  <si>
    <t>Энергосбережение и повышение энергетической эффективности</t>
  </si>
  <si>
    <t>2.1.1.</t>
  </si>
  <si>
    <t>Расширение оснащения электрических сетей средствами АИИС КУЭ</t>
  </si>
  <si>
    <t>ЛСР № 2.1.1</t>
  </si>
  <si>
    <t>2.2.</t>
  </si>
  <si>
    <t>Прочее новое строительство</t>
  </si>
  <si>
    <t>2.2.1.</t>
  </si>
  <si>
    <t>Электроснабжение объектов Школа мкр. "Учхоз", детский сад мкр. Учхоз. КЛ-10 кВ</t>
  </si>
  <si>
    <t>50000 руб. - тех.план, 22000 - регистрация объекта</t>
  </si>
  <si>
    <t>ЛСР № 2.2.1</t>
  </si>
  <si>
    <t>2.2.2.</t>
  </si>
  <si>
    <t xml:space="preserve">Строительство сетей 0,4 кВ для электроснабжения объекта Школа мкр. "Учхоз", детский сад мкр. Учхоз. </t>
  </si>
  <si>
    <t>91389-26546</t>
  </si>
  <si>
    <t>ЛСР № 2.2.2</t>
  </si>
  <si>
    <t>2.2.3.</t>
  </si>
  <si>
    <t>Электроснабжение объектов Школа мкр. "Учхоз", детский сад мкр. Учхоз. ТП-10/0,4 кВ (тип 2БКТП-1250 кВА)</t>
  </si>
  <si>
    <t>ЛСР № 2.2.3</t>
  </si>
  <si>
    <t>2.2.4.</t>
  </si>
  <si>
    <t>Строительство отходящих линий и ТП от  ПС-110/10 кВ "ГИБДД". КЛ-10 кВ</t>
  </si>
  <si>
    <t>ЛСР № 2.2.4</t>
  </si>
  <si>
    <t>2.2.5.</t>
  </si>
  <si>
    <t>Перевод нагрузок на ПС-110/10 кВ "Пойма". КЛ-10 кВ (III -этап)</t>
  </si>
  <si>
    <t>100000 руб. - тех.план, 56000-аренда ЗУ, 22000 - регистрация объекта</t>
  </si>
  <si>
    <t>ЛСР № 2.2.5</t>
  </si>
  <si>
    <t>2.2.6.</t>
  </si>
  <si>
    <t>Строительство отходящей ВЛ-35 кВ от ПС-110/35/10 кВ "ГИБДД" для электроснабжения объекта "Дом приемов губернатора"</t>
  </si>
  <si>
    <t>ЛСР № 2.2.6</t>
  </si>
  <si>
    <t>2.2.7.</t>
  </si>
  <si>
    <t>Строительство ПС-35/10 кВ  "Дом приемов губернатора"</t>
  </si>
  <si>
    <t>ЛСР № 2.2.7</t>
  </si>
  <si>
    <t>"Инженерные сети микрорайона "Восточный" 2 этап 2БКРП-1250 кВА.</t>
  </si>
  <si>
    <t>ЛСР № 2.2.8</t>
  </si>
  <si>
    <t>Строительство сетей 10 кВ от ПП-10 кВ "АБЗ" до проектируемой РП-10 кВ микрорайон "Восточный"</t>
  </si>
  <si>
    <t>ЛСР № 2.2.9</t>
  </si>
  <si>
    <t>2.2.8.</t>
  </si>
  <si>
    <t>Строительство сетей 10 кВ для электроснабжения комплекса зданий всемирной шахматной олимпиады 2020 г.</t>
  </si>
  <si>
    <t>ЛСР № 2.2.10</t>
  </si>
  <si>
    <t>2.2.9.</t>
  </si>
  <si>
    <t>Строительство 2БКТП-1250 кВА для электроснабжения комплекса зданий всемирной шахматной олимпиады 2020 г.</t>
  </si>
  <si>
    <t>ЛСР № 2.2.12</t>
  </si>
  <si>
    <t>2.2.10.</t>
  </si>
  <si>
    <t>Сети внешнего электроснабжения мкр. "Западный". КЛ-10 кВ</t>
  </si>
  <si>
    <t>ЛСР № 2.2.13</t>
  </si>
  <si>
    <t>2.2.11.</t>
  </si>
  <si>
    <t>Сети внешнего электроснабжения мкр. "Западный". ТП-10/0,4 кВ (тип  2БКТП2х1000 кВА)</t>
  </si>
  <si>
    <t>ЛСР № 2.2.14</t>
  </si>
  <si>
    <t>3.</t>
  </si>
  <si>
    <t>Прочие инвестиционные проекты</t>
  </si>
  <si>
    <t>3.1.</t>
  </si>
  <si>
    <t xml:space="preserve">Строительство производственно-хозяйственных сооружений земельного участка расположенного по адресу: г. Ханты-Мансийск, ул. Объездная, 23 А </t>
  </si>
  <si>
    <t>Исполнитель: Начальник сметной группы Попова Н.Н.</t>
  </si>
  <si>
    <t>Реквизиты обосновывающего расходы документа</t>
  </si>
  <si>
    <t>Кол-во мероприятий, шт.</t>
  </si>
  <si>
    <t>Протяженность/мощность</t>
  </si>
  <si>
    <t>Проект инвестиционной программы МП "ХМГЭС на 2019 год</t>
  </si>
  <si>
    <t>Инвестиционный 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</si>
</sst>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3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43" fontId="7" fillId="0" borderId="1" xfId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43" fontId="2" fillId="0" borderId="1" xfId="0" applyNumberFormat="1" applyFont="1" applyBorder="1" applyAlignment="1">
      <alignment vertical="top"/>
    </xf>
    <xf numFmtId="43" fontId="2" fillId="0" borderId="1" xfId="1" applyFont="1" applyBorder="1" applyAlignment="1">
      <alignment vertical="top"/>
    </xf>
    <xf numFmtId="43" fontId="2" fillId="0" borderId="1" xfId="1" applyFont="1" applyBorder="1" applyAlignment="1">
      <alignment vertical="top" wrapText="1"/>
    </xf>
    <xf numFmtId="43" fontId="2" fillId="0" borderId="5" xfId="0" applyNumberFormat="1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43" fontId="2" fillId="0" borderId="6" xfId="0" applyNumberFormat="1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43" fontId="2" fillId="0" borderId="7" xfId="0" applyNumberFormat="1" applyFont="1" applyBorder="1" applyAlignment="1">
      <alignment horizontal="center" vertical="top"/>
    </xf>
    <xf numFmtId="43" fontId="2" fillId="0" borderId="1" xfId="1" applyFont="1" applyBorder="1" applyAlignment="1">
      <alignment horizontal="center" vertical="top"/>
    </xf>
    <xf numFmtId="164" fontId="2" fillId="0" borderId="1" xfId="1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43" fontId="9" fillId="0" borderId="1" xfId="1" applyFont="1" applyBorder="1" applyAlignment="1">
      <alignment vertical="top"/>
    </xf>
    <xf numFmtId="43" fontId="9" fillId="0" borderId="1" xfId="1" applyNumberFormat="1" applyFont="1" applyFill="1" applyBorder="1" applyAlignment="1">
      <alignment vertical="top"/>
    </xf>
    <xf numFmtId="0" fontId="9" fillId="0" borderId="0" xfId="0" applyFont="1"/>
    <xf numFmtId="43" fontId="2" fillId="0" borderId="1" xfId="1" applyFont="1" applyFill="1" applyBorder="1" applyAlignment="1">
      <alignment vertical="top"/>
    </xf>
    <xf numFmtId="14" fontId="2" fillId="0" borderId="1" xfId="0" applyNumberFormat="1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43" fontId="2" fillId="2" borderId="1" xfId="1" applyFont="1" applyFill="1" applyBorder="1" applyAlignment="1">
      <alignment vertical="top"/>
    </xf>
    <xf numFmtId="0" fontId="2" fillId="2" borderId="0" xfId="0" applyFont="1" applyFill="1"/>
    <xf numFmtId="14" fontId="2" fillId="2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43" fontId="2" fillId="0" borderId="1" xfId="1" applyFont="1" applyFill="1" applyBorder="1" applyAlignment="1">
      <alignment vertical="top" wrapText="1"/>
    </xf>
    <xf numFmtId="0" fontId="2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2"/>
  <sheetViews>
    <sheetView tabSelected="1" topLeftCell="B4" workbookViewId="0">
      <pane xSplit="2" ySplit="6" topLeftCell="D10" activePane="bottomRight" state="frozenSplit"/>
      <selection activeCell="B4" sqref="B4"/>
      <selection pane="topRight" activeCell="D4" sqref="D4"/>
      <selection pane="bottomLeft" activeCell="B8" sqref="B8"/>
      <selection pane="bottomRight" activeCell="C12" sqref="C12"/>
    </sheetView>
  </sheetViews>
  <sheetFormatPr defaultRowHeight="12.75" outlineLevelRow="1" x14ac:dyDescent="0.2"/>
  <cols>
    <col min="1" max="1" width="9.140625" style="1"/>
    <col min="2" max="2" width="8.42578125" style="1" customWidth="1"/>
    <col min="3" max="3" width="40.85546875" style="1" bestFit="1" customWidth="1"/>
    <col min="4" max="4" width="11.140625" style="1" customWidth="1"/>
    <col min="5" max="5" width="14.5703125" style="1" customWidth="1"/>
    <col min="6" max="6" width="13.5703125" style="1" customWidth="1"/>
    <col min="7" max="7" width="14.28515625" style="1" customWidth="1"/>
    <col min="8" max="8" width="14.7109375" style="1" customWidth="1"/>
    <col min="9" max="9" width="13.7109375" style="1" customWidth="1"/>
    <col min="10" max="10" width="14" style="1" customWidth="1"/>
    <col min="11" max="11" width="17" style="1" customWidth="1"/>
    <col min="12" max="12" width="14" style="1" customWidth="1"/>
    <col min="13" max="13" width="25.7109375" style="1" customWidth="1"/>
    <col min="14" max="14" width="12.42578125" style="1" customWidth="1"/>
    <col min="15" max="15" width="11.85546875" style="1" customWidth="1"/>
    <col min="16" max="16" width="16.42578125" style="1" customWidth="1"/>
    <col min="17" max="17" width="16.5703125" style="1" customWidth="1"/>
    <col min="18" max="18" width="14.28515625" style="1" bestFit="1" customWidth="1"/>
    <col min="19" max="16384" width="9.140625" style="1"/>
  </cols>
  <sheetData>
    <row r="1" spans="2:19" x14ac:dyDescent="0.2">
      <c r="B1" s="1" t="s">
        <v>0</v>
      </c>
      <c r="R1" s="1" t="s">
        <v>1</v>
      </c>
    </row>
    <row r="3" spans="2:19" ht="36.75" customHeight="1" x14ac:dyDescent="0.25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19" ht="36.75" customHeight="1" x14ac:dyDescent="0.25">
      <c r="B4" s="2" t="s">
        <v>145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19" x14ac:dyDescent="0.2">
      <c r="R5" s="3"/>
    </row>
    <row r="6" spans="2:19" ht="102.75" customHeight="1" x14ac:dyDescent="0.2">
      <c r="B6" s="54" t="s">
        <v>3</v>
      </c>
      <c r="C6" s="54" t="s">
        <v>146</v>
      </c>
      <c r="D6" s="52" t="s">
        <v>143</v>
      </c>
      <c r="E6" s="53" t="s">
        <v>4</v>
      </c>
      <c r="F6" s="53"/>
      <c r="G6" s="53"/>
      <c r="H6" s="53"/>
      <c r="I6" s="53"/>
      <c r="J6" s="53"/>
      <c r="K6" s="53"/>
      <c r="L6" s="53" t="s">
        <v>5</v>
      </c>
      <c r="M6" s="53" t="s">
        <v>6</v>
      </c>
      <c r="N6" s="52" t="s">
        <v>7</v>
      </c>
      <c r="O6" s="53" t="s">
        <v>10</v>
      </c>
      <c r="P6" s="52" t="s">
        <v>11</v>
      </c>
      <c r="Q6" s="52" t="s">
        <v>142</v>
      </c>
      <c r="R6" s="55" t="s">
        <v>144</v>
      </c>
      <c r="S6" s="56"/>
    </row>
    <row r="7" spans="2:19" ht="16.5" customHeight="1" x14ac:dyDescent="0.2">
      <c r="B7" s="54"/>
      <c r="C7" s="54"/>
      <c r="D7" s="52"/>
      <c r="E7" s="53"/>
      <c r="F7" s="53"/>
      <c r="G7" s="53"/>
      <c r="H7" s="53"/>
      <c r="I7" s="53"/>
      <c r="J7" s="53"/>
      <c r="K7" s="53"/>
      <c r="L7" s="53"/>
      <c r="M7" s="53"/>
      <c r="N7" s="52"/>
      <c r="O7" s="53"/>
      <c r="P7" s="52"/>
      <c r="Q7" s="52"/>
      <c r="R7" s="5" t="s">
        <v>8</v>
      </c>
      <c r="S7" s="5" t="s">
        <v>9</v>
      </c>
    </row>
    <row r="8" spans="2:19" ht="15.75" customHeight="1" x14ac:dyDescent="0.2">
      <c r="B8" s="4">
        <v>1</v>
      </c>
      <c r="C8" s="4">
        <v>2</v>
      </c>
      <c r="D8" s="4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 t="s">
        <v>12</v>
      </c>
      <c r="L8" s="6">
        <v>11</v>
      </c>
      <c r="M8" s="6">
        <v>12</v>
      </c>
      <c r="N8" s="6">
        <v>13</v>
      </c>
      <c r="O8" s="6">
        <v>14</v>
      </c>
      <c r="P8" s="6" t="s">
        <v>13</v>
      </c>
      <c r="Q8" s="6">
        <v>14</v>
      </c>
      <c r="R8" s="6"/>
      <c r="S8" s="6"/>
    </row>
    <row r="9" spans="2:19" ht="25.5" x14ac:dyDescent="0.2">
      <c r="B9" s="7"/>
      <c r="C9" s="8"/>
      <c r="D9" s="9"/>
      <c r="E9" s="6" t="s">
        <v>14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  <c r="K9" s="6" t="s">
        <v>20</v>
      </c>
      <c r="L9" s="6"/>
      <c r="M9" s="6"/>
      <c r="N9" s="10"/>
      <c r="O9" s="10"/>
      <c r="P9" s="10"/>
      <c r="Q9" s="10"/>
      <c r="R9" s="10"/>
      <c r="S9" s="10"/>
    </row>
    <row r="10" spans="2:19" x14ac:dyDescent="0.2">
      <c r="B10" s="11"/>
      <c r="C10" s="12" t="s">
        <v>21</v>
      </c>
      <c r="D10" s="13">
        <f t="shared" ref="D10:K10" si="0">D11+D32+D49</f>
        <v>44</v>
      </c>
      <c r="E10" s="13">
        <f t="shared" si="0"/>
        <v>622592926.54682112</v>
      </c>
      <c r="F10" s="13">
        <f t="shared" si="0"/>
        <v>14141147.869349999</v>
      </c>
      <c r="G10" s="13">
        <f t="shared" si="0"/>
        <v>48081619.140849993</v>
      </c>
      <c r="H10" s="13">
        <f t="shared" si="0"/>
        <v>42388528.880050004</v>
      </c>
      <c r="I10" s="13">
        <f t="shared" si="0"/>
        <v>22662577.878649998</v>
      </c>
      <c r="J10" s="13">
        <f t="shared" si="0"/>
        <v>70430182.190450013</v>
      </c>
      <c r="K10" s="13">
        <f t="shared" si="0"/>
        <v>970296981.50617123</v>
      </c>
      <c r="L10" s="13">
        <f>L11+L32+L49</f>
        <v>1656000</v>
      </c>
      <c r="M10" s="14"/>
      <c r="N10" s="13">
        <f>N11+N32+N49</f>
        <v>156143.5</v>
      </c>
      <c r="O10" s="13">
        <f>O11+O32+O49</f>
        <v>13628.81</v>
      </c>
      <c r="P10" s="13">
        <f>P11+P32+P50</f>
        <v>1060872328.5061712</v>
      </c>
      <c r="Q10" s="10"/>
      <c r="R10" s="13"/>
      <c r="S10" s="13"/>
    </row>
    <row r="11" spans="2:19" x14ac:dyDescent="0.2">
      <c r="B11" s="15" t="s">
        <v>22</v>
      </c>
      <c r="C11" s="15" t="s">
        <v>23</v>
      </c>
      <c r="D11" s="16">
        <f>SUM(D12:D31)</f>
        <v>29</v>
      </c>
      <c r="E11" s="16">
        <f>SUM(E12:E31)</f>
        <v>152390017.65055001</v>
      </c>
      <c r="F11" s="16">
        <f t="shared" ref="F11:L11" si="1">SUM(F12:F31)</f>
        <v>1091156.4093499999</v>
      </c>
      <c r="G11" s="16">
        <f t="shared" si="1"/>
        <v>8885936.3108499981</v>
      </c>
      <c r="H11" s="16">
        <f t="shared" si="1"/>
        <v>6667780.8500500005</v>
      </c>
      <c r="I11" s="16">
        <f t="shared" si="1"/>
        <v>2612994.2986499998</v>
      </c>
      <c r="J11" s="16">
        <f t="shared" si="1"/>
        <v>17910467.730450004</v>
      </c>
      <c r="K11" s="16">
        <f>SUM(E11:J11)</f>
        <v>189558353.24990001</v>
      </c>
      <c r="L11" s="16">
        <f t="shared" si="1"/>
        <v>1073000</v>
      </c>
      <c r="M11" s="16"/>
      <c r="N11" s="16">
        <f t="shared" ref="N11" si="2">SUM(N12:N31)</f>
        <v>29403.759999999995</v>
      </c>
      <c r="O11" s="16">
        <f t="shared" ref="O11" si="3">SUM(O12:O31)</f>
        <v>693.49</v>
      </c>
      <c r="P11" s="16">
        <f>K11+L11</f>
        <v>190631353.24990001</v>
      </c>
      <c r="Q11" s="15"/>
      <c r="R11" s="16">
        <f>SUM(R12:R48)</f>
        <v>105.23799999999999</v>
      </c>
      <c r="S11" s="16">
        <f>SUM(S12:S48)</f>
        <v>20.97</v>
      </c>
    </row>
    <row r="12" spans="2:19" ht="127.5" x14ac:dyDescent="0.2">
      <c r="B12" s="17" t="s">
        <v>24</v>
      </c>
      <c r="C12" s="18" t="s">
        <v>25</v>
      </c>
      <c r="D12" s="19">
        <v>10</v>
      </c>
      <c r="E12" s="20">
        <f t="shared" ref="E12:J12" si="4">SUM(E13:E22)</f>
        <v>41193238.568449989</v>
      </c>
      <c r="F12" s="20">
        <f t="shared" si="4"/>
        <v>310769.17450000008</v>
      </c>
      <c r="G12" s="20">
        <f t="shared" si="4"/>
        <v>2329994.9237999995</v>
      </c>
      <c r="H12" s="20">
        <f t="shared" si="4"/>
        <v>1815189.2441999994</v>
      </c>
      <c r="I12" s="20">
        <f t="shared" si="4"/>
        <v>1066087.7412999999</v>
      </c>
      <c r="J12" s="20">
        <f t="shared" si="4"/>
        <v>7248588.2277000025</v>
      </c>
      <c r="K12" s="21">
        <f>SUM(E12:J12)</f>
        <v>53963867.879949994</v>
      </c>
      <c r="L12" s="20">
        <f>SUM(L13:L22)</f>
        <v>370000</v>
      </c>
      <c r="M12" s="22" t="s">
        <v>26</v>
      </c>
      <c r="N12" s="20">
        <f>SUM(N13:N22)</f>
        <v>7361.8799999999992</v>
      </c>
      <c r="O12" s="20">
        <f t="shared" ref="O12" si="5">SUM(O13:O22)</f>
        <v>281.61999999999989</v>
      </c>
      <c r="P12" s="21">
        <f>K12+L12</f>
        <v>54333867.879949994</v>
      </c>
      <c r="Q12" s="24" t="s">
        <v>27</v>
      </c>
      <c r="R12" s="20"/>
      <c r="S12" s="23">
        <v>6.05</v>
      </c>
    </row>
    <row r="13" spans="2:19" ht="12.75" hidden="1" customHeight="1" outlineLevel="1" x14ac:dyDescent="0.2">
      <c r="B13" s="17" t="s">
        <v>28</v>
      </c>
      <c r="C13" s="25" t="s">
        <v>29</v>
      </c>
      <c r="D13" s="17">
        <v>1</v>
      </c>
      <c r="E13" s="21">
        <f>4175857.43*0.985</f>
        <v>4113219.56855</v>
      </c>
      <c r="F13" s="21">
        <f>(37874.16-9302.67)*0.985</f>
        <v>28142.917650000003</v>
      </c>
      <c r="G13" s="21">
        <f>235301.46*0.985</f>
        <v>231771.9381</v>
      </c>
      <c r="H13" s="21">
        <f>182704.8*0.985</f>
        <v>179964.22799999997</v>
      </c>
      <c r="I13" s="21">
        <f>107285.11*0.985</f>
        <v>105675.83335</v>
      </c>
      <c r="J13" s="21">
        <f>(186963.11+50180.95+496686.44)*0.985</f>
        <v>722823.04249999998</v>
      </c>
      <c r="K13" s="21">
        <f t="shared" ref="K13:K22" si="6">SUM(E13:J13)</f>
        <v>5381597.5281499997</v>
      </c>
      <c r="L13" s="21">
        <f t="shared" ref="L13:L23" si="7">15000+22000</f>
        <v>37000</v>
      </c>
      <c r="M13" s="21"/>
      <c r="N13" s="21">
        <v>733.83</v>
      </c>
      <c r="O13" s="21">
        <v>26.08</v>
      </c>
      <c r="P13" s="21">
        <f>K13+L13</f>
        <v>5418597.5281499997</v>
      </c>
      <c r="Q13" s="17" t="s">
        <v>30</v>
      </c>
      <c r="R13" s="21"/>
      <c r="S13" s="26"/>
    </row>
    <row r="14" spans="2:19" ht="12.75" hidden="1" customHeight="1" outlineLevel="1" x14ac:dyDescent="0.2">
      <c r="B14" s="17" t="s">
        <v>31</v>
      </c>
      <c r="C14" s="25" t="s">
        <v>32</v>
      </c>
      <c r="D14" s="17">
        <v>1</v>
      </c>
      <c r="E14" s="21">
        <f>4227501.15*0.985</f>
        <v>4164088.6327500003</v>
      </c>
      <c r="F14" s="21">
        <f>(68770.17-15376.32)*0.985</f>
        <v>52592.94225</v>
      </c>
      <c r="G14" s="21">
        <f>245686.77*0.985</f>
        <v>242001.46844999999</v>
      </c>
      <c r="H14" s="21">
        <f>195857.79*0.985</f>
        <v>192919.92315000002</v>
      </c>
      <c r="I14" s="21">
        <f>115177.94*0.985</f>
        <v>113450.2709</v>
      </c>
      <c r="J14" s="21">
        <f>(191574.1+51418.54+508061.01)*0.985</f>
        <v>739787.84525000001</v>
      </c>
      <c r="K14" s="21">
        <f t="shared" si="6"/>
        <v>5504841.0827500001</v>
      </c>
      <c r="L14" s="21">
        <f t="shared" si="7"/>
        <v>37000</v>
      </c>
      <c r="M14" s="21"/>
      <c r="N14" s="21">
        <v>753.48</v>
      </c>
      <c r="O14" s="21">
        <v>43.43</v>
      </c>
      <c r="P14" s="21">
        <f>K14+L14</f>
        <v>5541841.0827500001</v>
      </c>
      <c r="Q14" s="17" t="s">
        <v>33</v>
      </c>
      <c r="R14" s="21"/>
      <c r="S14" s="26"/>
    </row>
    <row r="15" spans="2:19" ht="12.75" hidden="1" customHeight="1" outlineLevel="1" x14ac:dyDescent="0.2">
      <c r="B15" s="17" t="s">
        <v>34</v>
      </c>
      <c r="C15" s="25" t="s">
        <v>35</v>
      </c>
      <c r="D15" s="17">
        <v>1</v>
      </c>
      <c r="E15" s="21">
        <f>4175857.43*0.985</f>
        <v>4113219.56855</v>
      </c>
      <c r="F15" s="21">
        <f>(37874.16-9302.67)*0.985</f>
        <v>28142.917650000003</v>
      </c>
      <c r="G15" s="21">
        <f>235301.46*0.985</f>
        <v>231771.9381</v>
      </c>
      <c r="H15" s="21">
        <f>182704.8*0.985</f>
        <v>179964.22799999997</v>
      </c>
      <c r="I15" s="21">
        <f>107285.11*0.985</f>
        <v>105675.83335</v>
      </c>
      <c r="J15" s="21">
        <f>(186963.11+50180.95+496686.44)*0.985</f>
        <v>722823.04249999998</v>
      </c>
      <c r="K15" s="21">
        <f>SUM(E15:J15)</f>
        <v>5381597.5281499997</v>
      </c>
      <c r="L15" s="21">
        <f t="shared" si="7"/>
        <v>37000</v>
      </c>
      <c r="M15" s="21"/>
      <c r="N15" s="21">
        <v>733.83</v>
      </c>
      <c r="O15" s="21">
        <v>26.08</v>
      </c>
      <c r="P15" s="21">
        <f>K15+L15</f>
        <v>5418597.5281499997</v>
      </c>
      <c r="Q15" s="17" t="s">
        <v>36</v>
      </c>
      <c r="R15" s="21"/>
      <c r="S15" s="26"/>
    </row>
    <row r="16" spans="2:19" ht="12.75" hidden="1" customHeight="1" outlineLevel="1" x14ac:dyDescent="0.2">
      <c r="B16" s="17" t="s">
        <v>37</v>
      </c>
      <c r="C16" s="25" t="s">
        <v>38</v>
      </c>
      <c r="D16" s="17">
        <v>1</v>
      </c>
      <c r="E16" s="21">
        <f>4186186.18*0.985</f>
        <v>4123393.3873000001</v>
      </c>
      <c r="F16" s="21">
        <f>(44053.39-10517.46)*0.985</f>
        <v>33032.891049999998</v>
      </c>
      <c r="G16" s="21">
        <f>237378.63*0.985</f>
        <v>233817.95055000001</v>
      </c>
      <c r="H16" s="21">
        <f>185335.53*0.985</f>
        <v>182555.49705000001</v>
      </c>
      <c r="I16" s="21">
        <f>108863.76*0.985</f>
        <v>107230.8036</v>
      </c>
      <c r="J16" s="21">
        <f>(187885.32+50428.47+498961.38)*0.985</f>
        <v>726216.04245000007</v>
      </c>
      <c r="K16" s="21">
        <f t="shared" si="6"/>
        <v>5406246.5720000006</v>
      </c>
      <c r="L16" s="21">
        <f t="shared" si="7"/>
        <v>37000</v>
      </c>
      <c r="M16" s="21"/>
      <c r="N16" s="21">
        <v>737.76</v>
      </c>
      <c r="O16" s="21">
        <v>29.55</v>
      </c>
      <c r="P16" s="21">
        <f>K16+L16</f>
        <v>5443246.5720000006</v>
      </c>
      <c r="Q16" s="17" t="s">
        <v>39</v>
      </c>
      <c r="R16" s="21"/>
      <c r="S16" s="26"/>
    </row>
    <row r="17" spans="2:19" ht="12.75" hidden="1" customHeight="1" outlineLevel="1" x14ac:dyDescent="0.2">
      <c r="B17" s="17" t="s">
        <v>40</v>
      </c>
      <c r="C17" s="25" t="s">
        <v>41</v>
      </c>
      <c r="D17" s="17">
        <v>1</v>
      </c>
      <c r="E17" s="21">
        <f>4175857.43*0.985</f>
        <v>4113219.56855</v>
      </c>
      <c r="F17" s="21">
        <f>(37874.16-9302.67)*0.985</f>
        <v>28142.917650000003</v>
      </c>
      <c r="G17" s="21">
        <f>235301.46*0.985</f>
        <v>231771.9381</v>
      </c>
      <c r="H17" s="21">
        <f>182704.8*0.985</f>
        <v>179964.22799999997</v>
      </c>
      <c r="I17" s="21">
        <f>107285.11*0.985</f>
        <v>105675.83335</v>
      </c>
      <c r="J17" s="21">
        <f>(186963.11+50180.95+496686.44)*0.985</f>
        <v>722823.04249999998</v>
      </c>
      <c r="K17" s="21">
        <f t="shared" si="6"/>
        <v>5381597.5281499997</v>
      </c>
      <c r="L17" s="21">
        <f t="shared" si="7"/>
        <v>37000</v>
      </c>
      <c r="M17" s="21"/>
      <c r="N17" s="21">
        <v>733.83</v>
      </c>
      <c r="O17" s="21">
        <v>26.08</v>
      </c>
      <c r="P17" s="21">
        <f>K17+L17</f>
        <v>5418597.5281499997</v>
      </c>
      <c r="Q17" s="17" t="s">
        <v>42</v>
      </c>
      <c r="R17" s="21"/>
      <c r="S17" s="26"/>
    </row>
    <row r="18" spans="2:19" ht="12.75" hidden="1" customHeight="1" outlineLevel="1" x14ac:dyDescent="0.2">
      <c r="B18" s="17" t="s">
        <v>43</v>
      </c>
      <c r="C18" s="27" t="s">
        <v>44</v>
      </c>
      <c r="D18" s="17">
        <v>1</v>
      </c>
      <c r="E18" s="21">
        <f>4175857.43*0.985</f>
        <v>4113219.56855</v>
      </c>
      <c r="F18" s="21">
        <f>(37874.16-9302.67)*0.985</f>
        <v>28142.917650000003</v>
      </c>
      <c r="G18" s="21">
        <f>235301.46*0.985</f>
        <v>231771.9381</v>
      </c>
      <c r="H18" s="21">
        <f>182704.8*0.985</f>
        <v>179964.22799999997</v>
      </c>
      <c r="I18" s="21">
        <f>107285.11*0.985</f>
        <v>105675.83335</v>
      </c>
      <c r="J18" s="21">
        <f>(186963.11+50180.95+496686.44)*0.985</f>
        <v>722823.04249999998</v>
      </c>
      <c r="K18" s="21">
        <f t="shared" si="6"/>
        <v>5381597.5281499997</v>
      </c>
      <c r="L18" s="21">
        <f t="shared" si="7"/>
        <v>37000</v>
      </c>
      <c r="M18" s="21"/>
      <c r="N18" s="21">
        <v>733.83</v>
      </c>
      <c r="O18" s="21">
        <v>26.08</v>
      </c>
      <c r="P18" s="21">
        <f>K18+L18</f>
        <v>5418597.5281499997</v>
      </c>
      <c r="Q18" s="17" t="s">
        <v>45</v>
      </c>
      <c r="R18" s="21"/>
      <c r="S18" s="26"/>
    </row>
    <row r="19" spans="2:19" ht="12.75" hidden="1" customHeight="1" outlineLevel="1" x14ac:dyDescent="0.2">
      <c r="B19" s="17" t="s">
        <v>46</v>
      </c>
      <c r="C19" s="25" t="s">
        <v>47</v>
      </c>
      <c r="D19" s="17">
        <v>1</v>
      </c>
      <c r="E19" s="21">
        <f>4175857.43*0.985</f>
        <v>4113219.56855</v>
      </c>
      <c r="F19" s="21">
        <f>(37874.16-9302.67)*0.985</f>
        <v>28142.917650000003</v>
      </c>
      <c r="G19" s="21">
        <f>235301.46*0.985</f>
        <v>231771.9381</v>
      </c>
      <c r="H19" s="21">
        <f>182704.8*0.985</f>
        <v>179964.22799999997</v>
      </c>
      <c r="I19" s="21">
        <f>107285.11*0.985</f>
        <v>105675.83335</v>
      </c>
      <c r="J19" s="21">
        <f>(186963.11+50180.95+496686.44)*0.985</f>
        <v>722823.04249999998</v>
      </c>
      <c r="K19" s="21">
        <f t="shared" si="6"/>
        <v>5381597.5281499997</v>
      </c>
      <c r="L19" s="21">
        <f t="shared" si="7"/>
        <v>37000</v>
      </c>
      <c r="M19" s="21"/>
      <c r="N19" s="21">
        <v>733.83</v>
      </c>
      <c r="O19" s="21">
        <v>26.08</v>
      </c>
      <c r="P19" s="21">
        <f>K19+L19</f>
        <v>5418597.5281499997</v>
      </c>
      <c r="Q19" s="17" t="s">
        <v>48</v>
      </c>
      <c r="R19" s="21"/>
      <c r="S19" s="26"/>
    </row>
    <row r="20" spans="2:19" ht="12.75" hidden="1" customHeight="1" outlineLevel="1" x14ac:dyDescent="0.2">
      <c r="B20" s="17" t="s">
        <v>49</v>
      </c>
      <c r="C20" s="25" t="s">
        <v>50</v>
      </c>
      <c r="D20" s="17">
        <v>1</v>
      </c>
      <c r="E20" s="21">
        <f>4175857.43*0.985</f>
        <v>4113219.56855</v>
      </c>
      <c r="F20" s="21">
        <f>(37874.16-9302.67)*0.985</f>
        <v>28142.917650000003</v>
      </c>
      <c r="G20" s="21">
        <f>235301.46*0.985</f>
        <v>231771.9381</v>
      </c>
      <c r="H20" s="21">
        <f>182704.8*0.985</f>
        <v>179964.22799999997</v>
      </c>
      <c r="I20" s="21">
        <f>107285.11*0.985</f>
        <v>105675.83335</v>
      </c>
      <c r="J20" s="21">
        <f>(186963.11+50180.95+496686.44)*0.985</f>
        <v>722823.04249999998</v>
      </c>
      <c r="K20" s="21">
        <f t="shared" si="6"/>
        <v>5381597.5281499997</v>
      </c>
      <c r="L20" s="21">
        <f t="shared" si="7"/>
        <v>37000</v>
      </c>
      <c r="M20" s="21"/>
      <c r="N20" s="21">
        <v>733.83</v>
      </c>
      <c r="O20" s="21">
        <v>26.08</v>
      </c>
      <c r="P20" s="21">
        <f>K20+L20</f>
        <v>5418597.5281499997</v>
      </c>
      <c r="Q20" s="17" t="s">
        <v>51</v>
      </c>
      <c r="R20" s="21"/>
      <c r="S20" s="26"/>
    </row>
    <row r="21" spans="2:19" ht="12.75" hidden="1" customHeight="1" outlineLevel="1" x14ac:dyDescent="0.2">
      <c r="B21" s="17" t="s">
        <v>52</v>
      </c>
      <c r="C21" s="25" t="s">
        <v>53</v>
      </c>
      <c r="D21" s="17">
        <v>1</v>
      </c>
      <c r="E21" s="21">
        <f t="shared" ref="E21:E22" si="8">4175857.43*0.985</f>
        <v>4113219.56855</v>
      </c>
      <c r="F21" s="21">
        <f t="shared" ref="F21:F22" si="9">(37874.16-9302.67)*0.985</f>
        <v>28142.917650000003</v>
      </c>
      <c r="G21" s="21">
        <f t="shared" ref="G21:G22" si="10">235301.46*0.985</f>
        <v>231771.9381</v>
      </c>
      <c r="H21" s="21">
        <f t="shared" ref="H21:H22" si="11">182704.8*0.985</f>
        <v>179964.22799999997</v>
      </c>
      <c r="I21" s="21">
        <f t="shared" ref="I21:I22" si="12">107285.11*0.985</f>
        <v>105675.83335</v>
      </c>
      <c r="J21" s="21">
        <f t="shared" ref="J21:J22" si="13">(186963.11+50180.95+496686.44)*0.985</f>
        <v>722823.04249999998</v>
      </c>
      <c r="K21" s="21">
        <f t="shared" si="6"/>
        <v>5381597.5281499997</v>
      </c>
      <c r="L21" s="21">
        <f t="shared" si="7"/>
        <v>37000</v>
      </c>
      <c r="M21" s="21"/>
      <c r="N21" s="21">
        <v>733.83</v>
      </c>
      <c r="O21" s="21">
        <v>26.08</v>
      </c>
      <c r="P21" s="21">
        <f>K21+L21</f>
        <v>5418597.5281499997</v>
      </c>
      <c r="Q21" s="17" t="s">
        <v>54</v>
      </c>
      <c r="R21" s="21"/>
      <c r="S21" s="26"/>
    </row>
    <row r="22" spans="2:19" ht="12.75" hidden="1" customHeight="1" outlineLevel="1" x14ac:dyDescent="0.2">
      <c r="B22" s="17" t="s">
        <v>55</v>
      </c>
      <c r="C22" s="25" t="s">
        <v>56</v>
      </c>
      <c r="D22" s="17">
        <v>1</v>
      </c>
      <c r="E22" s="21">
        <f t="shared" si="8"/>
        <v>4113219.56855</v>
      </c>
      <c r="F22" s="21">
        <f t="shared" si="9"/>
        <v>28142.917650000003</v>
      </c>
      <c r="G22" s="21">
        <f t="shared" si="10"/>
        <v>231771.9381</v>
      </c>
      <c r="H22" s="21">
        <f t="shared" si="11"/>
        <v>179964.22799999997</v>
      </c>
      <c r="I22" s="21">
        <f t="shared" si="12"/>
        <v>105675.83335</v>
      </c>
      <c r="J22" s="21">
        <f t="shared" si="13"/>
        <v>722823.04249999998</v>
      </c>
      <c r="K22" s="21">
        <f t="shared" si="6"/>
        <v>5381597.5281499997</v>
      </c>
      <c r="L22" s="21">
        <f t="shared" si="7"/>
        <v>37000</v>
      </c>
      <c r="M22" s="21"/>
      <c r="N22" s="21">
        <v>733.83</v>
      </c>
      <c r="O22" s="21">
        <v>26.08</v>
      </c>
      <c r="P22" s="21">
        <f>K22+L22</f>
        <v>5418597.5281499997</v>
      </c>
      <c r="Q22" s="17" t="s">
        <v>57</v>
      </c>
      <c r="R22" s="21"/>
      <c r="S22" s="26"/>
    </row>
    <row r="23" spans="2:19" ht="25.5" collapsed="1" x14ac:dyDescent="0.2">
      <c r="B23" s="17" t="s">
        <v>58</v>
      </c>
      <c r="C23" s="18" t="s">
        <v>59</v>
      </c>
      <c r="D23" s="19">
        <v>1</v>
      </c>
      <c r="E23" s="21">
        <f>4175857.43*0.985</f>
        <v>4113219.56855</v>
      </c>
      <c r="F23" s="21">
        <f>(37874.16-9302.67)*0.985</f>
        <v>28142.917650000003</v>
      </c>
      <c r="G23" s="21">
        <f>235301.46*0.985</f>
        <v>231771.9381</v>
      </c>
      <c r="H23" s="28">
        <f>182704.8*0.985</f>
        <v>179964.22799999997</v>
      </c>
      <c r="I23" s="21">
        <f>107285.11*0.985</f>
        <v>105675.83335</v>
      </c>
      <c r="J23" s="21">
        <f>(186963.11+50180.95+496686.44)*0.985</f>
        <v>722823.04249999998</v>
      </c>
      <c r="K23" s="21">
        <f>SUM(E23:J23)</f>
        <v>5381597.5281499997</v>
      </c>
      <c r="L23" s="21">
        <f t="shared" si="7"/>
        <v>37000</v>
      </c>
      <c r="M23" s="22" t="s">
        <v>60</v>
      </c>
      <c r="N23" s="21">
        <v>733.83</v>
      </c>
      <c r="O23" s="21">
        <v>26.08</v>
      </c>
      <c r="P23" s="21">
        <f>(K23+L23)*D23</f>
        <v>5418597.5281499997</v>
      </c>
      <c r="Q23" s="17" t="s">
        <v>61</v>
      </c>
      <c r="R23" s="21"/>
      <c r="S23" s="26"/>
    </row>
    <row r="24" spans="2:19" ht="25.5" x14ac:dyDescent="0.2">
      <c r="B24" s="17" t="s">
        <v>62</v>
      </c>
      <c r="C24" s="18" t="s">
        <v>63</v>
      </c>
      <c r="D24" s="19">
        <v>1</v>
      </c>
      <c r="E24" s="21">
        <f>4175857.43*0.985</f>
        <v>4113219.56855</v>
      </c>
      <c r="F24" s="21">
        <f>(37874.16-9302.67)*0.985</f>
        <v>28142.917650000003</v>
      </c>
      <c r="G24" s="21">
        <f>235301.46*0.985</f>
        <v>231771.9381</v>
      </c>
      <c r="H24" s="21">
        <f>182704.8*0.985</f>
        <v>179964.22799999997</v>
      </c>
      <c r="I24" s="21">
        <f>107285.11*0.985</f>
        <v>105675.83335</v>
      </c>
      <c r="J24" s="21">
        <f>(186963.11+50180.95+496686.44)*0.985</f>
        <v>722823.04249999998</v>
      </c>
      <c r="K24" s="21">
        <f>SUM(E24:J24)</f>
        <v>5381597.5281499997</v>
      </c>
      <c r="L24" s="21">
        <f>15000+22000</f>
        <v>37000</v>
      </c>
      <c r="M24" s="22" t="s">
        <v>60</v>
      </c>
      <c r="N24" s="21">
        <v>733.83</v>
      </c>
      <c r="O24" s="21">
        <v>26.08</v>
      </c>
      <c r="P24" s="21">
        <f>(K24+L24)*D24</f>
        <v>5418597.5281499997</v>
      </c>
      <c r="Q24" s="17" t="s">
        <v>64</v>
      </c>
      <c r="R24" s="21"/>
      <c r="S24" s="26"/>
    </row>
    <row r="25" spans="2:19" ht="25.5" x14ac:dyDescent="0.2">
      <c r="B25" s="17" t="s">
        <v>65</v>
      </c>
      <c r="C25" s="18" t="s">
        <v>66</v>
      </c>
      <c r="D25" s="19">
        <v>1</v>
      </c>
      <c r="E25" s="21">
        <f>0.985*4134190.72</f>
        <v>4072177.8592000003</v>
      </c>
      <c r="F25" s="21">
        <f>(37874.16-9302.67)*0.985</f>
        <v>28142.917650000003</v>
      </c>
      <c r="G25" s="21">
        <f>235301.46*0.985</f>
        <v>231771.9381</v>
      </c>
      <c r="H25" s="21">
        <f>0.985*182704.8</f>
        <v>179964.22799999997</v>
      </c>
      <c r="I25" s="21">
        <f>0.985*107285.11</f>
        <v>105675.83335</v>
      </c>
      <c r="J25" s="21">
        <f>(185182.49+49703.03+492293.91)*0.985</f>
        <v>716271.73854999989</v>
      </c>
      <c r="K25" s="21">
        <f>SUM(E25:J25)</f>
        <v>5334004.5148500009</v>
      </c>
      <c r="L25" s="21">
        <f>15000+22000</f>
        <v>37000</v>
      </c>
      <c r="M25" s="22" t="s">
        <v>60</v>
      </c>
      <c r="N25" s="21">
        <v>733.83</v>
      </c>
      <c r="O25" s="21">
        <v>26.08</v>
      </c>
      <c r="P25" s="21">
        <f>(K25+L25)*D25</f>
        <v>5371004.5148500009</v>
      </c>
      <c r="Q25" s="17" t="s">
        <v>67</v>
      </c>
      <c r="R25" s="21"/>
      <c r="S25" s="26"/>
    </row>
    <row r="26" spans="2:19" ht="25.5" x14ac:dyDescent="0.2">
      <c r="B26" s="17" t="s">
        <v>68</v>
      </c>
      <c r="C26" s="18" t="s">
        <v>69</v>
      </c>
      <c r="D26" s="19">
        <v>1</v>
      </c>
      <c r="E26" s="21">
        <f>7278799.51*0.985</f>
        <v>7169617.5173499994</v>
      </c>
      <c r="F26" s="21">
        <f>(75267.07-18618.23)*0.985</f>
        <v>55799.107400000008</v>
      </c>
      <c r="G26" s="21">
        <f>345524.07*0.985</f>
        <v>340341.20895</v>
      </c>
      <c r="H26" s="21">
        <f>281551.49*0.985</f>
        <v>277328.21765000001</v>
      </c>
      <c r="I26" s="21">
        <f>166285.6*0.985</f>
        <v>163791.31599999999</v>
      </c>
      <c r="J26" s="21">
        <f>(327935.59+88018+854476.31)*0.985</f>
        <v>1251373.4515000002</v>
      </c>
      <c r="K26" s="21">
        <f>SUM(E26:J26)</f>
        <v>9258250.8188499995</v>
      </c>
      <c r="L26" s="21">
        <f>15000+22000</f>
        <v>37000</v>
      </c>
      <c r="M26" s="22" t="s">
        <v>60</v>
      </c>
      <c r="N26" s="21">
        <f>1108.03</f>
        <v>1108.03</v>
      </c>
      <c r="O26" s="21">
        <f>52.01</f>
        <v>52.01</v>
      </c>
      <c r="P26" s="21">
        <f>(K26+L26)*D26</f>
        <v>9295250.8188499995</v>
      </c>
      <c r="Q26" s="17" t="s">
        <v>70</v>
      </c>
      <c r="R26" s="21"/>
      <c r="S26" s="29"/>
    </row>
    <row r="27" spans="2:19" ht="25.5" x14ac:dyDescent="0.2">
      <c r="B27" s="17" t="s">
        <v>71</v>
      </c>
      <c r="C27" s="18" t="s">
        <v>72</v>
      </c>
      <c r="D27" s="19">
        <v>1</v>
      </c>
      <c r="E27" s="21">
        <v>10217115</v>
      </c>
      <c r="F27" s="21">
        <f>82877.63-14135.07</f>
        <v>68742.559999999998</v>
      </c>
      <c r="G27" s="21">
        <v>642346.28</v>
      </c>
      <c r="H27" s="21">
        <v>447681.43</v>
      </c>
      <c r="I27" s="30" t="s">
        <v>73</v>
      </c>
      <c r="J27" s="30" t="s">
        <v>73</v>
      </c>
      <c r="K27" s="31">
        <f>SUM(E27:J27)</f>
        <v>11375885.27</v>
      </c>
      <c r="L27" s="21">
        <f>15000+22000</f>
        <v>37000</v>
      </c>
      <c r="M27" s="22" t="s">
        <v>60</v>
      </c>
      <c r="N27" s="21">
        <v>2288.8200000000002</v>
      </c>
      <c r="O27" s="10"/>
      <c r="P27" s="21">
        <f>(K27+L27)*D27</f>
        <v>11412885.27</v>
      </c>
      <c r="Q27" s="17" t="s">
        <v>74</v>
      </c>
      <c r="R27" s="21"/>
      <c r="S27" s="30">
        <v>1.26</v>
      </c>
    </row>
    <row r="28" spans="2:19" ht="25.5" x14ac:dyDescent="0.2">
      <c r="B28" s="17" t="s">
        <v>75</v>
      </c>
      <c r="C28" s="18" t="s">
        <v>76</v>
      </c>
      <c r="D28" s="19">
        <v>1</v>
      </c>
      <c r="E28" s="21">
        <v>10033692</v>
      </c>
      <c r="F28" s="21">
        <f>76954.9-12986.54</f>
        <v>63968.359999999993</v>
      </c>
      <c r="G28" s="21">
        <v>635198.96</v>
      </c>
      <c r="H28" s="21">
        <v>441606.2</v>
      </c>
      <c r="I28" s="30" t="s">
        <v>73</v>
      </c>
      <c r="J28" s="30" t="s">
        <v>73</v>
      </c>
      <c r="K28" s="31">
        <f>SUM(E28:J28)-1</f>
        <v>11174464.52</v>
      </c>
      <c r="L28" s="21">
        <f t="shared" ref="L28:L31" si="14">15000+22000</f>
        <v>37000</v>
      </c>
      <c r="M28" s="22" t="s">
        <v>60</v>
      </c>
      <c r="N28" s="21">
        <v>2264.2800000000002</v>
      </c>
      <c r="O28" s="10"/>
      <c r="P28" s="21">
        <f>(K28+L28)*D28</f>
        <v>11211464.52</v>
      </c>
      <c r="Q28" s="17" t="s">
        <v>77</v>
      </c>
      <c r="R28" s="21"/>
      <c r="S28" s="21">
        <v>0.8</v>
      </c>
    </row>
    <row r="29" spans="2:19" ht="25.5" x14ac:dyDescent="0.2">
      <c r="B29" s="17" t="s">
        <v>78</v>
      </c>
      <c r="C29" s="18" t="s">
        <v>79</v>
      </c>
      <c r="D29" s="19">
        <v>1</v>
      </c>
      <c r="E29" s="21">
        <v>10217115</v>
      </c>
      <c r="F29" s="21">
        <f>82877.63-14135.07</f>
        <v>68742.559999999998</v>
      </c>
      <c r="G29" s="21">
        <v>642346.28</v>
      </c>
      <c r="H29" s="21">
        <v>447681.43</v>
      </c>
      <c r="I29" s="30" t="s">
        <v>73</v>
      </c>
      <c r="J29" s="30" t="s">
        <v>73</v>
      </c>
      <c r="K29" s="31">
        <f t="shared" ref="K29:K30" si="15">SUM(E29:J29)</f>
        <v>11375885.27</v>
      </c>
      <c r="L29" s="21">
        <f t="shared" si="14"/>
        <v>37000</v>
      </c>
      <c r="M29" s="22" t="s">
        <v>80</v>
      </c>
      <c r="N29" s="21">
        <v>2288.8200000000002</v>
      </c>
      <c r="O29" s="10"/>
      <c r="P29" s="21">
        <f>(K29+L29)*D29</f>
        <v>11412885.27</v>
      </c>
      <c r="Q29" s="17" t="s">
        <v>81</v>
      </c>
      <c r="R29" s="21"/>
      <c r="S29" s="21">
        <v>1.26</v>
      </c>
    </row>
    <row r="30" spans="2:19" ht="25.5" x14ac:dyDescent="0.2">
      <c r="B30" s="17" t="s">
        <v>82</v>
      </c>
      <c r="C30" s="18" t="s">
        <v>83</v>
      </c>
      <c r="D30" s="19">
        <v>1</v>
      </c>
      <c r="E30" s="21">
        <v>10033692</v>
      </c>
      <c r="F30" s="21">
        <f>76954.9-12986.54</f>
        <v>63968.359999999993</v>
      </c>
      <c r="G30" s="21">
        <v>635198.96</v>
      </c>
      <c r="H30" s="21">
        <v>441606.2</v>
      </c>
      <c r="I30" s="30" t="s">
        <v>73</v>
      </c>
      <c r="J30" s="30" t="s">
        <v>73</v>
      </c>
      <c r="K30" s="31">
        <f t="shared" si="15"/>
        <v>11174465.52</v>
      </c>
      <c r="L30" s="21">
        <f t="shared" si="14"/>
        <v>37000</v>
      </c>
      <c r="M30" s="22" t="s">
        <v>60</v>
      </c>
      <c r="N30" s="21">
        <v>2264.2800000000002</v>
      </c>
      <c r="O30" s="10"/>
      <c r="P30" s="21">
        <f>(K30+L30)*D30</f>
        <v>11211465.52</v>
      </c>
      <c r="Q30" s="17" t="s">
        <v>84</v>
      </c>
      <c r="R30" s="21"/>
      <c r="S30" s="21">
        <v>0.8</v>
      </c>
    </row>
    <row r="31" spans="2:19" ht="25.5" x14ac:dyDescent="0.2">
      <c r="B31" s="17" t="s">
        <v>85</v>
      </c>
      <c r="C31" s="18" t="s">
        <v>86</v>
      </c>
      <c r="D31" s="19">
        <v>1</v>
      </c>
      <c r="E31" s="21">
        <v>10033692</v>
      </c>
      <c r="F31" s="21">
        <f>76954.9-12986.54</f>
        <v>63968.359999999993</v>
      </c>
      <c r="G31" s="21">
        <v>635198.96</v>
      </c>
      <c r="H31" s="21">
        <v>441606.2</v>
      </c>
      <c r="I31" s="30" t="s">
        <v>73</v>
      </c>
      <c r="J31" s="30" t="s">
        <v>73</v>
      </c>
      <c r="K31" s="31">
        <f>SUM(E31:J31)-1</f>
        <v>11174464.52</v>
      </c>
      <c r="L31" s="21">
        <f t="shared" si="14"/>
        <v>37000</v>
      </c>
      <c r="M31" s="22" t="s">
        <v>60</v>
      </c>
      <c r="N31" s="21">
        <v>2264.2800000000002</v>
      </c>
      <c r="O31" s="21"/>
      <c r="P31" s="21">
        <f>(K31+L31)*D31</f>
        <v>11211464.52</v>
      </c>
      <c r="Q31" s="17" t="s">
        <v>87</v>
      </c>
      <c r="R31" s="21"/>
      <c r="S31" s="21">
        <v>0.8</v>
      </c>
    </row>
    <row r="32" spans="2:19" x14ac:dyDescent="0.2">
      <c r="B32" s="15" t="s">
        <v>88</v>
      </c>
      <c r="C32" s="32" t="s">
        <v>89</v>
      </c>
      <c r="D32" s="16">
        <f>D33+D35</f>
        <v>14</v>
      </c>
      <c r="E32" s="16">
        <f t="shared" ref="E32:L32" si="16">E33+E35</f>
        <v>470202908.89627117</v>
      </c>
      <c r="F32" s="16">
        <f t="shared" si="16"/>
        <v>13049991.459999999</v>
      </c>
      <c r="G32" s="16">
        <f t="shared" si="16"/>
        <v>39195682.829999998</v>
      </c>
      <c r="H32" s="16">
        <f t="shared" si="16"/>
        <v>35720748.030000001</v>
      </c>
      <c r="I32" s="16">
        <f t="shared" si="16"/>
        <v>20049583.579999998</v>
      </c>
      <c r="J32" s="16">
        <f t="shared" si="16"/>
        <v>52519714.460000001</v>
      </c>
      <c r="K32" s="16">
        <f t="shared" si="16"/>
        <v>630738628.25627124</v>
      </c>
      <c r="L32" s="16">
        <f t="shared" si="16"/>
        <v>546000</v>
      </c>
      <c r="M32" s="16"/>
      <c r="N32" s="16">
        <f t="shared" ref="N32" si="17">N33+N35</f>
        <v>126739.73999999999</v>
      </c>
      <c r="O32" s="16">
        <f t="shared" ref="O32:P32" si="18">O33+O35</f>
        <v>12935.32</v>
      </c>
      <c r="P32" s="16">
        <f t="shared" si="18"/>
        <v>720203975.25627124</v>
      </c>
      <c r="Q32" s="17"/>
      <c r="R32" s="16"/>
      <c r="S32" s="16"/>
    </row>
    <row r="33" spans="2:19" s="38" customFormat="1" ht="24" x14ac:dyDescent="0.2">
      <c r="B33" s="33" t="s">
        <v>90</v>
      </c>
      <c r="C33" s="34" t="s">
        <v>91</v>
      </c>
      <c r="D33" s="35">
        <f>SUM(D34)</f>
        <v>1</v>
      </c>
      <c r="E33" s="36">
        <f t="shared" ref="E33:L33" si="19">SUM(E34)</f>
        <v>6834631.8762711855</v>
      </c>
      <c r="F33" s="36">
        <f t="shared" si="19"/>
        <v>118994.92000000001</v>
      </c>
      <c r="G33" s="36">
        <f t="shared" si="19"/>
        <v>7145621.4000000004</v>
      </c>
      <c r="H33" s="36">
        <f t="shared" si="19"/>
        <v>4080953.7</v>
      </c>
      <c r="I33" s="30">
        <f t="shared" si="19"/>
        <v>0</v>
      </c>
      <c r="J33" s="30">
        <f t="shared" si="19"/>
        <v>0</v>
      </c>
      <c r="K33" s="37">
        <f t="shared" si="19"/>
        <v>18180200.896271184</v>
      </c>
      <c r="L33" s="35">
        <f t="shared" si="19"/>
        <v>0</v>
      </c>
      <c r="M33" s="36"/>
      <c r="N33" s="36">
        <f t="shared" ref="N33" si="20">SUM(N34)</f>
        <v>21096.37</v>
      </c>
      <c r="O33" s="36">
        <f t="shared" ref="O33:P33" si="21">SUM(O34)</f>
        <v>0</v>
      </c>
      <c r="P33" s="36">
        <f t="shared" si="21"/>
        <v>18180200.896271184</v>
      </c>
      <c r="Q33" s="33"/>
      <c r="R33" s="36"/>
      <c r="S33" s="36"/>
    </row>
    <row r="34" spans="2:19" ht="25.5" x14ac:dyDescent="0.2">
      <c r="B34" s="17" t="s">
        <v>92</v>
      </c>
      <c r="C34" s="18" t="s">
        <v>93</v>
      </c>
      <c r="D34" s="19">
        <v>1</v>
      </c>
      <c r="E34" s="21">
        <f>26838849-16104976.21/1.18-6355932.2</f>
        <v>6834631.8762711855</v>
      </c>
      <c r="F34" s="21">
        <f>158190.1-39195.18</f>
        <v>118994.92000000001</v>
      </c>
      <c r="G34" s="21">
        <v>7145621.4000000004</v>
      </c>
      <c r="H34" s="21">
        <v>4080953.7</v>
      </c>
      <c r="I34" s="30" t="s">
        <v>73</v>
      </c>
      <c r="J34" s="30" t="s">
        <v>73</v>
      </c>
      <c r="K34" s="39">
        <f>SUM(E34:J34)-1</f>
        <v>18180200.896271184</v>
      </c>
      <c r="L34" s="30" t="s">
        <v>73</v>
      </c>
      <c r="M34" s="21"/>
      <c r="N34" s="21">
        <v>21096.37</v>
      </c>
      <c r="O34" s="30" t="s">
        <v>73</v>
      </c>
      <c r="P34" s="21">
        <f>K34*D34</f>
        <v>18180200.896271184</v>
      </c>
      <c r="Q34" s="17" t="s">
        <v>94</v>
      </c>
      <c r="R34" s="21"/>
      <c r="S34" s="21"/>
    </row>
    <row r="35" spans="2:19" s="38" customFormat="1" ht="12" x14ac:dyDescent="0.2">
      <c r="B35" s="33" t="s">
        <v>95</v>
      </c>
      <c r="C35" s="34" t="s">
        <v>96</v>
      </c>
      <c r="D35" s="35">
        <f>SUM(D36:D48)</f>
        <v>13</v>
      </c>
      <c r="E35" s="36">
        <f t="shared" ref="E35:L35" si="22">SUM(E37:E48)</f>
        <v>463368277.01999998</v>
      </c>
      <c r="F35" s="36">
        <f t="shared" si="22"/>
        <v>12930996.539999999</v>
      </c>
      <c r="G35" s="36">
        <f t="shared" si="22"/>
        <v>32050061.43</v>
      </c>
      <c r="H35" s="36">
        <f t="shared" si="22"/>
        <v>31639794.329999998</v>
      </c>
      <c r="I35" s="36">
        <f t="shared" si="22"/>
        <v>20049583.579999998</v>
      </c>
      <c r="J35" s="36">
        <f t="shared" si="22"/>
        <v>52519714.460000001</v>
      </c>
      <c r="K35" s="36">
        <f t="shared" si="22"/>
        <v>612558427.36000001</v>
      </c>
      <c r="L35" s="36">
        <f t="shared" si="22"/>
        <v>546000</v>
      </c>
      <c r="M35" s="36"/>
      <c r="N35" s="36">
        <f>SUM(N37:N48)</f>
        <v>105643.37</v>
      </c>
      <c r="O35" s="36">
        <f>SUM(O37:O48)</f>
        <v>12935.32</v>
      </c>
      <c r="P35" s="36">
        <f>SUM(P37:P48)</f>
        <v>702023774.36000001</v>
      </c>
      <c r="Q35" s="33"/>
      <c r="R35" s="36"/>
      <c r="S35" s="36"/>
    </row>
    <row r="36" spans="2:19" ht="25.5" x14ac:dyDescent="0.2">
      <c r="B36" s="40" t="s">
        <v>97</v>
      </c>
      <c r="C36" s="18" t="s">
        <v>98</v>
      </c>
      <c r="D36" s="19">
        <v>1</v>
      </c>
      <c r="E36" s="21">
        <v>10414202</v>
      </c>
      <c r="F36" s="21">
        <f>424424-111243</f>
        <v>313181</v>
      </c>
      <c r="G36" s="21">
        <v>1284625</v>
      </c>
      <c r="H36" s="21">
        <v>1263312</v>
      </c>
      <c r="I36" s="21">
        <v>811267</v>
      </c>
      <c r="J36" s="21">
        <f>351625+43250+616095+452927</f>
        <v>1463897</v>
      </c>
      <c r="K36" s="39">
        <f>SUM(E36:J36)</f>
        <v>15550484</v>
      </c>
      <c r="L36" s="21">
        <f>50000+22000</f>
        <v>72000</v>
      </c>
      <c r="M36" s="22" t="s">
        <v>99</v>
      </c>
      <c r="N36" s="21">
        <v>4777.05</v>
      </c>
      <c r="O36" s="21">
        <v>300.10000000000002</v>
      </c>
      <c r="P36" s="21">
        <f>K36*D34</f>
        <v>15550484</v>
      </c>
      <c r="Q36" s="17" t="s">
        <v>100</v>
      </c>
      <c r="R36" s="21">
        <v>3.476</v>
      </c>
      <c r="S36" s="21"/>
    </row>
    <row r="37" spans="2:19" ht="38.25" x14ac:dyDescent="0.2">
      <c r="B37" s="17" t="s">
        <v>101</v>
      </c>
      <c r="C37" s="18" t="s">
        <v>102</v>
      </c>
      <c r="D37" s="19">
        <v>1</v>
      </c>
      <c r="E37" s="21">
        <v>929652</v>
      </c>
      <c r="F37" s="21" t="s">
        <v>103</v>
      </c>
      <c r="G37" s="21">
        <v>304053</v>
      </c>
      <c r="H37" s="21">
        <v>284443</v>
      </c>
      <c r="I37" s="21">
        <v>173613</v>
      </c>
      <c r="J37" s="21">
        <f>43493+76206+7133+20532+57119</f>
        <v>204483</v>
      </c>
      <c r="K37" s="39">
        <f>SUM(E37:J37)</f>
        <v>1896244</v>
      </c>
      <c r="L37" s="21">
        <f t="shared" ref="L37:L39" si="23">15000+22000</f>
        <v>37000</v>
      </c>
      <c r="M37" s="22" t="s">
        <v>60</v>
      </c>
      <c r="N37" s="21">
        <v>1181.81</v>
      </c>
      <c r="O37" s="21">
        <v>75.819999999999993</v>
      </c>
      <c r="P37" s="21">
        <f>K37*D35</f>
        <v>24651172</v>
      </c>
      <c r="Q37" s="17" t="s">
        <v>104</v>
      </c>
      <c r="R37" s="21">
        <v>0.5</v>
      </c>
      <c r="S37" s="21"/>
    </row>
    <row r="38" spans="2:19" ht="38.25" x14ac:dyDescent="0.2">
      <c r="B38" s="17" t="s">
        <v>105</v>
      </c>
      <c r="C38" s="18" t="s">
        <v>106</v>
      </c>
      <c r="D38" s="19">
        <v>1</v>
      </c>
      <c r="E38" s="21">
        <f>1090191+21454403</f>
        <v>22544594</v>
      </c>
      <c r="F38" s="21">
        <f>375202-67760</f>
        <v>307442</v>
      </c>
      <c r="G38" s="21">
        <v>907257</v>
      </c>
      <c r="H38" s="21">
        <v>743776</v>
      </c>
      <c r="I38" s="21">
        <v>457657</v>
      </c>
      <c r="J38" s="21">
        <f>59722+104641+9794+28193+2516308</f>
        <v>2718658</v>
      </c>
      <c r="K38" s="39">
        <f>SUM(E38:J38)</f>
        <v>27679384</v>
      </c>
      <c r="L38" s="21">
        <f t="shared" si="23"/>
        <v>37000</v>
      </c>
      <c r="M38" s="22" t="s">
        <v>60</v>
      </c>
      <c r="N38" s="21">
        <v>2800.39</v>
      </c>
      <c r="O38" s="21">
        <v>169.64</v>
      </c>
      <c r="P38" s="21">
        <f>K38*D36</f>
        <v>27679384</v>
      </c>
      <c r="Q38" s="17" t="s">
        <v>107</v>
      </c>
      <c r="R38" s="21"/>
      <c r="S38" s="21">
        <v>2.5</v>
      </c>
    </row>
    <row r="39" spans="2:19" ht="25.5" x14ac:dyDescent="0.2">
      <c r="B39" s="17" t="s">
        <v>108</v>
      </c>
      <c r="C39" s="18" t="s">
        <v>109</v>
      </c>
      <c r="D39" s="19">
        <v>1</v>
      </c>
      <c r="E39" s="21">
        <v>5290597.0199999996</v>
      </c>
      <c r="F39" s="21">
        <f>2844648.62-781412.08</f>
        <v>2063236.54</v>
      </c>
      <c r="G39" s="21">
        <v>3809072.43</v>
      </c>
      <c r="H39" s="21">
        <v>4209959.33</v>
      </c>
      <c r="I39" s="21">
        <v>2855527.58</v>
      </c>
      <c r="J39" s="21">
        <f>455240.09+797642.1+55994.53+214703.28+395039.46</f>
        <v>1918619.46</v>
      </c>
      <c r="K39" s="39">
        <f>SUM(E39:J39)</f>
        <v>20147012.359999999</v>
      </c>
      <c r="L39" s="21">
        <f t="shared" si="23"/>
        <v>37000</v>
      </c>
      <c r="M39" s="22" t="s">
        <v>60</v>
      </c>
      <c r="N39" s="21">
        <v>11430.99</v>
      </c>
      <c r="O39" s="21">
        <v>2108.9499999999998</v>
      </c>
      <c r="P39" s="21">
        <f>K39*D37</f>
        <v>20147012.359999999</v>
      </c>
      <c r="Q39" s="17" t="s">
        <v>110</v>
      </c>
      <c r="R39" s="21">
        <f>4*1258/1000</f>
        <v>5.032</v>
      </c>
      <c r="S39" s="21"/>
    </row>
    <row r="40" spans="2:19" ht="38.25" x14ac:dyDescent="0.2">
      <c r="B40" s="17" t="s">
        <v>111</v>
      </c>
      <c r="C40" s="18" t="s">
        <v>112</v>
      </c>
      <c r="D40" s="19">
        <v>1</v>
      </c>
      <c r="E40" s="21">
        <v>127731446</v>
      </c>
      <c r="F40" s="21">
        <f>6166402-1676840</f>
        <v>4489562</v>
      </c>
      <c r="G40" s="21">
        <v>8866911</v>
      </c>
      <c r="H40" s="21">
        <v>8603452</v>
      </c>
      <c r="I40" s="21">
        <v>5422811</v>
      </c>
      <c r="J40" s="21">
        <f>6623376+16173756</f>
        <v>22797132</v>
      </c>
      <c r="K40" s="21">
        <f>SUM(E40:J40)</f>
        <v>177911314</v>
      </c>
      <c r="L40" s="21">
        <f>100000+22000+56000</f>
        <v>178000</v>
      </c>
      <c r="M40" s="22" t="s">
        <v>113</v>
      </c>
      <c r="N40" s="21">
        <v>28995.3</v>
      </c>
      <c r="O40" s="21">
        <v>4326.66</v>
      </c>
      <c r="P40" s="21">
        <f>(K40+L40)*D40</f>
        <v>178089314</v>
      </c>
      <c r="Q40" s="17" t="s">
        <v>114</v>
      </c>
      <c r="R40" s="21">
        <f>26.1+14.2-0.35*20</f>
        <v>33.299999999999997</v>
      </c>
      <c r="S40" s="21"/>
    </row>
    <row r="41" spans="2:19" s="45" customFormat="1" ht="38.25" hidden="1" x14ac:dyDescent="0.2">
      <c r="B41" s="41" t="s">
        <v>115</v>
      </c>
      <c r="C41" s="42" t="s">
        <v>116</v>
      </c>
      <c r="D41" s="43">
        <v>1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1" t="s">
        <v>117</v>
      </c>
      <c r="R41" s="44"/>
      <c r="S41" s="44"/>
    </row>
    <row r="42" spans="2:19" s="45" customFormat="1" ht="25.5" hidden="1" x14ac:dyDescent="0.2">
      <c r="B42" s="46" t="s">
        <v>118</v>
      </c>
      <c r="C42" s="42" t="s">
        <v>119</v>
      </c>
      <c r="D42" s="43">
        <v>1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1" t="s">
        <v>120</v>
      </c>
      <c r="R42" s="44"/>
      <c r="S42" s="44"/>
    </row>
    <row r="43" spans="2:19" ht="25.5" x14ac:dyDescent="0.2">
      <c r="B43" s="40" t="s">
        <v>115</v>
      </c>
      <c r="C43" s="18" t="s">
        <v>121</v>
      </c>
      <c r="D43" s="19">
        <v>1</v>
      </c>
      <c r="E43" s="21">
        <v>89971910</v>
      </c>
      <c r="F43" s="21">
        <v>1330341</v>
      </c>
      <c r="G43" s="21">
        <v>2966674</v>
      </c>
      <c r="H43" s="21">
        <v>2751398</v>
      </c>
      <c r="I43" s="30">
        <v>1748319</v>
      </c>
      <c r="J43" s="30">
        <v>2755958</v>
      </c>
      <c r="K43" s="21">
        <v>101524600</v>
      </c>
      <c r="L43" s="21">
        <v>37000</v>
      </c>
      <c r="M43" s="22" t="s">
        <v>60</v>
      </c>
      <c r="N43" s="21">
        <v>9089.2800000000007</v>
      </c>
      <c r="O43" s="21">
        <v>1121.8900000000001</v>
      </c>
      <c r="P43" s="21">
        <v>101561600</v>
      </c>
      <c r="Q43" s="17" t="s">
        <v>122</v>
      </c>
      <c r="R43" s="21"/>
      <c r="S43" s="21">
        <v>2.5</v>
      </c>
    </row>
    <row r="44" spans="2:19" ht="38.25" x14ac:dyDescent="0.2">
      <c r="B44" s="40" t="s">
        <v>118</v>
      </c>
      <c r="C44" s="18" t="s">
        <v>123</v>
      </c>
      <c r="D44" s="19">
        <v>1</v>
      </c>
      <c r="E44" s="21">
        <v>24499624</v>
      </c>
      <c r="F44" s="21">
        <f>776746-207934</f>
        <v>568812</v>
      </c>
      <c r="G44" s="21">
        <v>2529536</v>
      </c>
      <c r="H44" s="21">
        <v>2543661</v>
      </c>
      <c r="I44" s="21">
        <v>1440057</v>
      </c>
      <c r="J44" s="21">
        <f>789066+1382550+97055+372145+1026675</f>
        <v>3667491</v>
      </c>
      <c r="K44" s="21">
        <f>SUM(E44:J44)</f>
        <v>35249181</v>
      </c>
      <c r="L44" s="21">
        <v>37000</v>
      </c>
      <c r="M44" s="22" t="s">
        <v>60</v>
      </c>
      <c r="N44" s="21">
        <v>9429.8799999999992</v>
      </c>
      <c r="O44" s="21">
        <v>562.84</v>
      </c>
      <c r="P44" s="21">
        <v>101561600</v>
      </c>
      <c r="Q44" s="17" t="s">
        <v>124</v>
      </c>
      <c r="R44" s="21">
        <f>41.56+8.25+9.5</f>
        <v>59.31</v>
      </c>
      <c r="S44" s="21"/>
    </row>
    <row r="45" spans="2:19" ht="38.25" x14ac:dyDescent="0.2">
      <c r="B45" s="17" t="s">
        <v>125</v>
      </c>
      <c r="C45" s="18" t="s">
        <v>126</v>
      </c>
      <c r="D45" s="19">
        <v>1</v>
      </c>
      <c r="E45" s="21">
        <v>11518319</v>
      </c>
      <c r="F45" s="21">
        <f>2103327-787507</f>
        <v>1315820</v>
      </c>
      <c r="G45" s="21">
        <v>3202739</v>
      </c>
      <c r="H45" s="21">
        <v>3492944</v>
      </c>
      <c r="I45" s="21">
        <v>2209459</v>
      </c>
      <c r="J45" s="21">
        <f>1682630+86845+2350876</f>
        <v>4120351</v>
      </c>
      <c r="K45" s="21">
        <f>SUM(E45:J45)</f>
        <v>25859632</v>
      </c>
      <c r="L45" s="21">
        <f>50000+22000</f>
        <v>72000</v>
      </c>
      <c r="M45" s="22" t="s">
        <v>99</v>
      </c>
      <c r="N45" s="21">
        <v>9819.48</v>
      </c>
      <c r="O45" s="21">
        <v>2059.29</v>
      </c>
      <c r="P45" s="21">
        <f>K45+L45</f>
        <v>25931632</v>
      </c>
      <c r="Q45" s="17" t="s">
        <v>127</v>
      </c>
      <c r="R45" s="21">
        <v>2.2999999999999998</v>
      </c>
      <c r="S45" s="21"/>
    </row>
    <row r="46" spans="2:19" ht="38.25" x14ac:dyDescent="0.2">
      <c r="B46" s="17" t="s">
        <v>128</v>
      </c>
      <c r="C46" s="18" t="s">
        <v>129</v>
      </c>
      <c r="D46" s="19">
        <v>1</v>
      </c>
      <c r="E46" s="21">
        <f>1090191+21454403</f>
        <v>22544594</v>
      </c>
      <c r="F46" s="21">
        <f>375202-67760</f>
        <v>307442</v>
      </c>
      <c r="G46" s="21">
        <v>907257</v>
      </c>
      <c r="H46" s="21">
        <v>743776</v>
      </c>
      <c r="I46" s="21">
        <v>457657</v>
      </c>
      <c r="J46" s="21">
        <f>185138+9555+2515542</f>
        <v>2710235</v>
      </c>
      <c r="K46" s="21">
        <f>SUM(E46:J46)</f>
        <v>27670961</v>
      </c>
      <c r="L46" s="21">
        <f>15000+22000</f>
        <v>37000</v>
      </c>
      <c r="M46" s="22" t="s">
        <v>60</v>
      </c>
      <c r="N46" s="21">
        <v>2800.39</v>
      </c>
      <c r="O46" s="21">
        <v>169.64</v>
      </c>
      <c r="P46" s="21">
        <f>K46+L46</f>
        <v>27707961</v>
      </c>
      <c r="Q46" s="17" t="s">
        <v>130</v>
      </c>
      <c r="R46" s="21"/>
      <c r="S46" s="21">
        <v>2.5</v>
      </c>
    </row>
    <row r="47" spans="2:19" ht="25.5" x14ac:dyDescent="0.2">
      <c r="B47" s="17" t="s">
        <v>131</v>
      </c>
      <c r="C47" s="18" t="s">
        <v>132</v>
      </c>
      <c r="D47" s="19">
        <v>1</v>
      </c>
      <c r="E47" s="21">
        <v>68365631</v>
      </c>
      <c r="F47" s="21">
        <f>1667633-449633</f>
        <v>1218000</v>
      </c>
      <c r="G47" s="21">
        <v>5589888</v>
      </c>
      <c r="H47" s="21">
        <v>5514987</v>
      </c>
      <c r="I47" s="21">
        <v>3536164</v>
      </c>
      <c r="J47" s="21">
        <f>2105148+3688503+258933+992843+1825402</f>
        <v>8870829</v>
      </c>
      <c r="K47" s="21">
        <f>SUM(E47:J47)</f>
        <v>93095499</v>
      </c>
      <c r="L47" s="21">
        <f>15000+22000</f>
        <v>37000</v>
      </c>
      <c r="M47" s="22" t="s">
        <v>60</v>
      </c>
      <c r="N47" s="21">
        <v>21006.57</v>
      </c>
      <c r="O47" s="21">
        <v>1218.7</v>
      </c>
      <c r="P47" s="21">
        <f>K47+L47</f>
        <v>93132499</v>
      </c>
      <c r="Q47" s="17" t="s">
        <v>133</v>
      </c>
      <c r="R47" s="21">
        <v>1.32</v>
      </c>
      <c r="S47" s="21"/>
    </row>
    <row r="48" spans="2:19" ht="38.25" x14ac:dyDescent="0.2">
      <c r="B48" s="17" t="s">
        <v>134</v>
      </c>
      <c r="C48" s="18" t="s">
        <v>135</v>
      </c>
      <c r="D48" s="19">
        <v>1</v>
      </c>
      <c r="E48" s="21">
        <f>1382516+88589394</f>
        <v>89971910</v>
      </c>
      <c r="F48" s="21">
        <f>1725159-394818</f>
        <v>1330341</v>
      </c>
      <c r="G48" s="21">
        <v>2966674</v>
      </c>
      <c r="H48" s="21">
        <v>2751398</v>
      </c>
      <c r="I48" s="21">
        <v>1748319</v>
      </c>
      <c r="J48" s="21">
        <f>210588+428813+25902+99977+1990678</f>
        <v>2755958</v>
      </c>
      <c r="K48" s="21">
        <f>SUM(E48:J48)</f>
        <v>101524600</v>
      </c>
      <c r="L48" s="21">
        <f>15000+22000</f>
        <v>37000</v>
      </c>
      <c r="M48" s="22" t="s">
        <v>60</v>
      </c>
      <c r="N48" s="21">
        <v>9089.2800000000007</v>
      </c>
      <c r="O48" s="21">
        <v>1121.8900000000001</v>
      </c>
      <c r="P48" s="21">
        <f>K48+L48</f>
        <v>101561600</v>
      </c>
      <c r="Q48" s="17" t="s">
        <v>136</v>
      </c>
      <c r="R48" s="21"/>
      <c r="S48" s="21">
        <v>2.5</v>
      </c>
    </row>
    <row r="49" spans="2:19" x14ac:dyDescent="0.2">
      <c r="B49" s="17" t="s">
        <v>137</v>
      </c>
      <c r="C49" s="18" t="s">
        <v>138</v>
      </c>
      <c r="D49" s="16">
        <f>D50</f>
        <v>1</v>
      </c>
      <c r="E49" s="16">
        <f t="shared" ref="E49:L49" si="24">E50</f>
        <v>0</v>
      </c>
      <c r="F49" s="16">
        <f t="shared" si="24"/>
        <v>0</v>
      </c>
      <c r="G49" s="16">
        <f t="shared" si="24"/>
        <v>0</v>
      </c>
      <c r="H49" s="16">
        <f t="shared" si="24"/>
        <v>0</v>
      </c>
      <c r="I49" s="16">
        <f t="shared" si="24"/>
        <v>0</v>
      </c>
      <c r="J49" s="16">
        <f t="shared" si="24"/>
        <v>0</v>
      </c>
      <c r="K49" s="16">
        <f t="shared" si="24"/>
        <v>150000000</v>
      </c>
      <c r="L49" s="16">
        <f t="shared" si="24"/>
        <v>37000</v>
      </c>
      <c r="M49" s="16"/>
      <c r="N49" s="16">
        <f>SUM(N50:N54)</f>
        <v>0</v>
      </c>
      <c r="O49" s="16">
        <f>SUM(O50:O54)</f>
        <v>0</v>
      </c>
      <c r="P49" s="16">
        <f>K49+L49</f>
        <v>150037000</v>
      </c>
      <c r="Q49" s="17"/>
      <c r="R49" s="16"/>
      <c r="S49" s="16"/>
    </row>
    <row r="50" spans="2:19" s="51" customFormat="1" ht="51" x14ac:dyDescent="0.2">
      <c r="B50" s="47" t="s">
        <v>139</v>
      </c>
      <c r="C50" s="48" t="s">
        <v>140</v>
      </c>
      <c r="D50" s="49">
        <v>1</v>
      </c>
      <c r="E50" s="39"/>
      <c r="F50" s="39"/>
      <c r="G50" s="39"/>
      <c r="H50" s="39"/>
      <c r="I50" s="39"/>
      <c r="J50" s="39"/>
      <c r="K50" s="39">
        <v>150000000</v>
      </c>
      <c r="L50" s="39">
        <f>15000+22000</f>
        <v>37000</v>
      </c>
      <c r="M50" s="50" t="s">
        <v>60</v>
      </c>
      <c r="N50" s="39"/>
      <c r="O50" s="39"/>
      <c r="P50" s="39">
        <f>K50+L50</f>
        <v>150037000</v>
      </c>
      <c r="Q50" s="47"/>
      <c r="R50" s="39"/>
      <c r="S50" s="39"/>
    </row>
    <row r="52" spans="2:19" x14ac:dyDescent="0.2">
      <c r="B52" s="1" t="s">
        <v>141</v>
      </c>
    </row>
  </sheetData>
  <mergeCells count="15">
    <mergeCell ref="B4:S4"/>
    <mergeCell ref="L6:L7"/>
    <mergeCell ref="E6:K7"/>
    <mergeCell ref="D6:D7"/>
    <mergeCell ref="C6:C7"/>
    <mergeCell ref="B6:B7"/>
    <mergeCell ref="R6:S6"/>
    <mergeCell ref="B3:R3"/>
    <mergeCell ref="B9:D9"/>
    <mergeCell ref="S12:S26"/>
    <mergeCell ref="Q6:Q7"/>
    <mergeCell ref="P6:P7"/>
    <mergeCell ref="O6:O7"/>
    <mergeCell ref="N6:N7"/>
    <mergeCell ref="M6:M7"/>
  </mergeCells>
  <pageMargins left="0.7" right="0.7" top="0.75" bottom="0.75" header="0.3" footer="0.3"/>
  <pageSetup paperSize="8" scale="4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Проект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Наталья Николаевна</dc:creator>
  <cp:lastModifiedBy>Попова Наталья Николаевна</cp:lastModifiedBy>
  <cp:lastPrinted>2019-03-05T03:24:14Z</cp:lastPrinted>
  <dcterms:created xsi:type="dcterms:W3CDTF">2019-03-04T12:25:50Z</dcterms:created>
  <dcterms:modified xsi:type="dcterms:W3CDTF">2019-03-07T04:51:07Z</dcterms:modified>
</cp:coreProperties>
</file>